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-120" yWindow="-120" windowWidth="20730" windowHeight="11160"/>
  </bookViews>
  <sheets>
    <sheet name="Liquidación Renta PN" sheetId="13" r:id="rId1"/>
    <sheet name="Tabla Impuesto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3" l="1"/>
  <c r="D13" i="13"/>
  <c r="D8" i="13"/>
  <c r="D7" i="13"/>
  <c r="D9" i="13" s="1"/>
  <c r="D5" i="13"/>
  <c r="D4" i="13"/>
  <c r="D6" i="13" s="1"/>
  <c r="D12" i="13" l="1"/>
  <c r="D15" i="13" s="1"/>
  <c r="J17" i="13"/>
  <c r="D17" i="13" s="1"/>
  <c r="D10" i="13"/>
  <c r="D18" i="13" l="1"/>
  <c r="D19" i="13" s="1"/>
  <c r="D20" i="13" s="1"/>
  <c r="J20" i="13" s="1"/>
  <c r="D21" i="13" s="1"/>
  <c r="D25" i="13" s="1"/>
  <c r="A10" i="4" s="1"/>
  <c r="E9" i="4" l="1"/>
  <c r="E6" i="4"/>
  <c r="E7" i="4"/>
  <c r="E5" i="4"/>
  <c r="E10" i="4" s="1"/>
  <c r="G8" i="4" s="1"/>
  <c r="D26" i="13" s="1"/>
  <c r="D27" i="13" s="1"/>
  <c r="E27" i="13" s="1"/>
  <c r="E8" i="4"/>
</calcChain>
</file>

<file path=xl/sharedStrings.xml><?xml version="1.0" encoding="utf-8"?>
<sst xmlns="http://schemas.openxmlformats.org/spreadsheetml/2006/main" count="55" uniqueCount="51">
  <si>
    <t>INGRESOS</t>
  </si>
  <si>
    <t>INRGO</t>
  </si>
  <si>
    <t>Total Ingresos Netos</t>
  </si>
  <si>
    <t>Aporte Salud</t>
  </si>
  <si>
    <t>Aporte Pensión</t>
  </si>
  <si>
    <t>Total Ingresos</t>
  </si>
  <si>
    <t>Total INRGO</t>
  </si>
  <si>
    <t>Deducciones</t>
  </si>
  <si>
    <t>Total deducciones</t>
  </si>
  <si>
    <t>Rentas Exentas</t>
  </si>
  <si>
    <t>Renta Exenta Laboral</t>
  </si>
  <si>
    <t>Renta Líquida e Impuesto de Renta</t>
  </si>
  <si>
    <t>Impuesto</t>
  </si>
  <si>
    <t>Total Rentas Exentas</t>
  </si>
  <si>
    <t>Renta Líquida Régimen Ordinario</t>
  </si>
  <si>
    <t>Dependiente</t>
  </si>
  <si>
    <t>Medicina Prepagada</t>
  </si>
  <si>
    <t>DESDE</t>
  </si>
  <si>
    <t>HASTA</t>
  </si>
  <si>
    <t>Renta gravable en UVT menos 1090 por 19%</t>
  </si>
  <si>
    <t>Renta gravable en UVT menos 1700 por 28% más 116 UVT</t>
  </si>
  <si>
    <t>Renta gravable en UVT menos 4100 por 33% más 788 UVT</t>
  </si>
  <si>
    <t>TABLA REGIMEN ORDINARIO</t>
  </si>
  <si>
    <t>Cédula: RENTA DE TRABAJO PERSONA NATURAL-PN</t>
  </si>
  <si>
    <t>Total Deducciones+Rentas Exentas</t>
  </si>
  <si>
    <r>
      <t xml:space="preserve">Dependiente </t>
    </r>
    <r>
      <rPr>
        <sz val="8"/>
        <color theme="1"/>
        <rFont val="Arial"/>
        <family val="2"/>
      </rPr>
      <t>(1)</t>
    </r>
  </si>
  <si>
    <r>
      <t xml:space="preserve">Medicina Prepagada </t>
    </r>
    <r>
      <rPr>
        <sz val="8"/>
        <color theme="1"/>
        <rFont val="Arial"/>
        <family val="2"/>
      </rPr>
      <t>(2)</t>
    </r>
  </si>
  <si>
    <r>
      <t xml:space="preserve">Intereses Vivienda </t>
    </r>
    <r>
      <rPr>
        <sz val="8"/>
        <color theme="1"/>
        <rFont val="Arial"/>
        <family val="2"/>
      </rPr>
      <t>(3)</t>
    </r>
  </si>
  <si>
    <t>Intereses de Vivienda</t>
  </si>
  <si>
    <r>
      <t xml:space="preserve">Aporte Voluntario Pensión o AFC </t>
    </r>
    <r>
      <rPr>
        <sz val="8"/>
        <color theme="1"/>
        <rFont val="Arial"/>
        <family val="2"/>
      </rPr>
      <t>(4)</t>
    </r>
  </si>
  <si>
    <t>Rentas de Trabajo</t>
  </si>
  <si>
    <t>40% del Ingreso Neto o máx. 5040 UVT.  Para este caso el valor procedente es:</t>
  </si>
  <si>
    <t>Límite Renta Exenta + deducciones</t>
  </si>
  <si>
    <t>Total Impuesto de Renta a cargo</t>
  </si>
  <si>
    <t>Viáticos</t>
  </si>
  <si>
    <t>(2)Máxima deducción:  192 UVT ($7.297.000)</t>
  </si>
  <si>
    <t>(3)Máxima deducción: 1200 UVT ($45.605.000)</t>
  </si>
  <si>
    <t>Rentas de Trabajo Año 2022</t>
  </si>
  <si>
    <t>Renta gravable en UVT menos 8670 por 35% más 2296 UVT</t>
  </si>
  <si>
    <t>Renta gravable en UVT menos 18970 por 37% más 5901 UVT</t>
  </si>
  <si>
    <t>(1)Máxima deducción:  10% del Ingreso Laboral o 384 UVT ($14.593.000)</t>
  </si>
  <si>
    <t>(4)Máxima exención 30% de las Rentas de Trabajo  o  3800 UVT (144.415.000)</t>
  </si>
  <si>
    <t>Aporte Voluntario Pensión y/o AFC</t>
  </si>
  <si>
    <t>Campos en amarillo deben diligenciarse
Los demás campos están formulados</t>
  </si>
  <si>
    <t>NOTA: Esta herramienta se utiliza para cálculo aproximado del impuesto de renta de PN, cédula rentas de trabajo. 
No aplica para elaborar la declaración de renta.</t>
  </si>
  <si>
    <t>UVT 2022</t>
  </si>
  <si>
    <r>
      <t xml:space="preserve"> </t>
    </r>
    <r>
      <rPr>
        <sz val="12"/>
        <color theme="1"/>
        <rFont val="Script MT Bold"/>
        <family val="4"/>
      </rPr>
      <t>Departamento Operación Financiera y Contable</t>
    </r>
  </si>
  <si>
    <t xml:space="preserve">                              Mayo 2022</t>
  </si>
  <si>
    <t>si</t>
  </si>
  <si>
    <t>Datos de Entrada Anuales</t>
  </si>
  <si>
    <t>Datos de Entrada Alivios Tributarios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</si>
</sst>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Script MT Bold"/>
      <family val="4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dotted">
        <color theme="8" tint="-0.249977111117893"/>
      </top>
      <bottom style="dotted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dotted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dotted">
        <color theme="8" tint="-0.249977111117893"/>
      </top>
      <bottom style="dotted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dotted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dotted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dotted">
        <color theme="8" tint="-0.249977111117893"/>
      </bottom>
      <diagonal/>
    </border>
    <border>
      <left/>
      <right/>
      <top style="medium">
        <color theme="8" tint="-0.249977111117893"/>
      </top>
      <bottom style="dotted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indexed="64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10" xfId="0" applyBorder="1"/>
    <xf numFmtId="0" fontId="3" fillId="0" borderId="13" xfId="0" applyFont="1" applyBorder="1"/>
    <xf numFmtId="0" fontId="3" fillId="0" borderId="15" xfId="0" applyFont="1" applyBorder="1"/>
    <xf numFmtId="0" fontId="3" fillId="0" borderId="14" xfId="0" applyFont="1" applyBorder="1"/>
    <xf numFmtId="3" fontId="3" fillId="0" borderId="11" xfId="0" applyNumberFormat="1" applyFont="1" applyBorder="1"/>
    <xf numFmtId="0" fontId="4" fillId="0" borderId="12" xfId="0" applyFont="1" applyBorder="1"/>
    <xf numFmtId="3" fontId="4" fillId="0" borderId="6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0" fontId="3" fillId="0" borderId="3" xfId="0" applyFont="1" applyBorder="1"/>
    <xf numFmtId="3" fontId="4" fillId="0" borderId="7" xfId="0" applyNumberFormat="1" applyFont="1" applyBorder="1"/>
    <xf numFmtId="0" fontId="5" fillId="2" borderId="14" xfId="0" applyFont="1" applyFill="1" applyBorder="1"/>
    <xf numFmtId="3" fontId="3" fillId="0" borderId="14" xfId="0" applyNumberFormat="1" applyFont="1" applyBorder="1"/>
    <xf numFmtId="0" fontId="3" fillId="0" borderId="12" xfId="0" applyFont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8" xfId="0" applyNumberFormat="1" applyFont="1" applyBorder="1"/>
    <xf numFmtId="3" fontId="3" fillId="0" borderId="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0" fontId="3" fillId="0" borderId="18" xfId="0" applyFont="1" applyBorder="1"/>
    <xf numFmtId="0" fontId="3" fillId="0" borderId="1" xfId="0" applyFont="1" applyBorder="1"/>
    <xf numFmtId="0" fontId="4" fillId="0" borderId="3" xfId="0" applyFont="1" applyBorder="1"/>
    <xf numFmtId="3" fontId="4" fillId="0" borderId="12" xfId="0" applyNumberFormat="1" applyFont="1" applyBorder="1"/>
    <xf numFmtId="3" fontId="0" fillId="0" borderId="0" xfId="0" applyNumberFormat="1"/>
    <xf numFmtId="0" fontId="0" fillId="0" borderId="19" xfId="0" applyBorder="1"/>
    <xf numFmtId="0" fontId="0" fillId="0" borderId="20" xfId="0" applyBorder="1"/>
    <xf numFmtId="9" fontId="0" fillId="0" borderId="20" xfId="0" applyNumberFormat="1" applyBorder="1"/>
    <xf numFmtId="0" fontId="0" fillId="0" borderId="21" xfId="0" applyBorder="1"/>
    <xf numFmtId="9" fontId="0" fillId="0" borderId="21" xfId="0" applyNumberFormat="1" applyBorder="1"/>
    <xf numFmtId="164" fontId="0" fillId="0" borderId="0" xfId="1" applyFont="1"/>
    <xf numFmtId="43" fontId="0" fillId="0" borderId="0" xfId="0" applyNumberFormat="1"/>
    <xf numFmtId="37" fontId="0" fillId="0" borderId="0" xfId="0" applyNumberFormat="1"/>
    <xf numFmtId="0" fontId="7" fillId="4" borderId="0" xfId="0" applyFont="1" applyFill="1"/>
    <xf numFmtId="0" fontId="7" fillId="5" borderId="0" xfId="0" applyFont="1" applyFill="1" applyAlignment="1">
      <alignment horizontal="center"/>
    </xf>
    <xf numFmtId="0" fontId="3" fillId="0" borderId="25" xfId="0" applyFont="1" applyBorder="1"/>
    <xf numFmtId="3" fontId="3" fillId="0" borderId="25" xfId="0" applyNumberFormat="1" applyFont="1" applyBorder="1" applyAlignment="1">
      <alignment wrapText="1"/>
    </xf>
    <xf numFmtId="0" fontId="9" fillId="0" borderId="0" xfId="0" applyFont="1"/>
    <xf numFmtId="0" fontId="0" fillId="0" borderId="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3" fontId="4" fillId="0" borderId="35" xfId="0" applyNumberFormat="1" applyFont="1" applyBorder="1"/>
    <xf numFmtId="3" fontId="0" fillId="6" borderId="30" xfId="0" applyNumberFormat="1" applyFill="1" applyBorder="1"/>
    <xf numFmtId="3" fontId="0" fillId="6" borderId="28" xfId="0" applyNumberFormat="1" applyFill="1" applyBorder="1"/>
    <xf numFmtId="3" fontId="0" fillId="0" borderId="0" xfId="0" applyNumberFormat="1" applyFill="1" applyBorder="1"/>
    <xf numFmtId="3" fontId="10" fillId="7" borderId="0" xfId="0" applyNumberFormat="1" applyFont="1" applyFill="1"/>
    <xf numFmtId="3" fontId="3" fillId="0" borderId="17" xfId="0" applyNumberFormat="1" applyFont="1" applyFill="1" applyBorder="1"/>
    <xf numFmtId="3" fontId="3" fillId="0" borderId="11" xfId="0" applyNumberFormat="1" applyFont="1" applyFill="1" applyBorder="1"/>
    <xf numFmtId="3" fontId="0" fillId="6" borderId="29" xfId="0" applyNumberFormat="1" applyFill="1" applyBorder="1"/>
    <xf numFmtId="3" fontId="0" fillId="6" borderId="29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6" borderId="0" xfId="0" applyFill="1"/>
    <xf numFmtId="3" fontId="0" fillId="0" borderId="30" xfId="0" applyNumberFormat="1" applyFill="1" applyBorder="1"/>
    <xf numFmtId="3" fontId="14" fillId="0" borderId="7" xfId="0" applyNumberFormat="1" applyFont="1" applyBorder="1" applyAlignment="1">
      <alignment wrapText="1"/>
    </xf>
    <xf numFmtId="3" fontId="13" fillId="0" borderId="0" xfId="0" applyNumberFormat="1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6" borderId="36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1</xdr:row>
      <xdr:rowOff>0</xdr:rowOff>
    </xdr:from>
    <xdr:to>
      <xdr:col>11</xdr:col>
      <xdr:colOff>370840</xdr:colOff>
      <xdr:row>2</xdr:row>
      <xdr:rowOff>0</xdr:rowOff>
    </xdr:to>
    <xdr:pic>
      <xdr:nvPicPr>
        <xdr:cNvPr id="2" name="Picture 6" descr="Universidad de los Andes">
          <a:extLst>
            <a:ext uri="{FF2B5EF4-FFF2-40B4-BE49-F238E27FC236}">
              <a16:creationId xmlns:a16="http://schemas.microsoft.com/office/drawing/2014/main" id="{5060FE51-C904-4707-94D1-8E75CDE5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190500"/>
          <a:ext cx="1123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361950</xdr:colOff>
      <xdr:row>3</xdr:row>
      <xdr:rowOff>142875</xdr:rowOff>
    </xdr:to>
    <xdr:pic>
      <xdr:nvPicPr>
        <xdr:cNvPr id="2" name="Picture 6" descr="Universidad de los Andes">
          <a:extLst>
            <a:ext uri="{FF2B5EF4-FFF2-40B4-BE49-F238E27FC236}">
              <a16:creationId xmlns:a16="http://schemas.microsoft.com/office/drawing/2014/main" id="{D3FE33B2-38EC-4A12-BC23-0CF4ED57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190500"/>
          <a:ext cx="1123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zoomScale="130" zoomScaleNormal="130" workbookViewId="0">
      <selection activeCell="L8" sqref="L8"/>
    </sheetView>
  </sheetViews>
  <sheetFormatPr baseColWidth="10" defaultRowHeight="15" x14ac:dyDescent="0.25"/>
  <cols>
    <col min="1" max="1" width="3" customWidth="1"/>
    <col min="2" max="2" width="18.42578125" customWidth="1"/>
    <col min="3" max="3" width="28.7109375" customWidth="1"/>
    <col min="4" max="4" width="23" customWidth="1"/>
    <col min="5" max="7" width="8" customWidth="1"/>
    <col min="8" max="8" width="33.28515625" customWidth="1"/>
    <col min="9" max="9" width="13.140625" customWidth="1"/>
    <col min="10" max="10" width="0.5703125" hidden="1" customWidth="1"/>
  </cols>
  <sheetData>
    <row r="1" spans="1:12" x14ac:dyDescent="0.25">
      <c r="A1" s="61"/>
      <c r="B1" s="63" t="s">
        <v>23</v>
      </c>
      <c r="C1" s="63"/>
      <c r="D1" s="63"/>
      <c r="E1" s="1"/>
      <c r="F1" s="38"/>
      <c r="G1" s="38"/>
      <c r="H1" s="52"/>
      <c r="I1" s="52"/>
    </row>
    <row r="2" spans="1:12" ht="41.25" customHeight="1" thickBot="1" x14ac:dyDescent="0.3">
      <c r="A2" s="61"/>
      <c r="B2" s="64" t="s">
        <v>44</v>
      </c>
      <c r="C2" s="65"/>
      <c r="D2" s="66"/>
      <c r="E2" s="1"/>
      <c r="F2" s="38"/>
      <c r="G2" s="38"/>
      <c r="H2" s="58" t="s">
        <v>43</v>
      </c>
      <c r="I2" s="58"/>
    </row>
    <row r="3" spans="1:12" ht="15.75" thickBot="1" x14ac:dyDescent="0.3">
      <c r="A3" s="61"/>
      <c r="B3" s="67"/>
      <c r="C3" s="67"/>
      <c r="D3" s="67"/>
      <c r="E3" s="1"/>
      <c r="F3" s="38"/>
      <c r="G3" s="38"/>
      <c r="H3" s="59" t="s">
        <v>49</v>
      </c>
      <c r="I3" s="60"/>
    </row>
    <row r="4" spans="1:12" x14ac:dyDescent="0.25">
      <c r="A4" s="61"/>
      <c r="B4" s="68" t="s">
        <v>0</v>
      </c>
      <c r="C4" s="3" t="s">
        <v>37</v>
      </c>
      <c r="D4" s="47">
        <f>+I4</f>
        <v>77855856</v>
      </c>
      <c r="E4" s="1"/>
      <c r="F4" s="38"/>
      <c r="G4" s="38"/>
      <c r="H4" s="39" t="s">
        <v>30</v>
      </c>
      <c r="I4" s="49">
        <v>77855856</v>
      </c>
    </row>
    <row r="5" spans="1:12" x14ac:dyDescent="0.25">
      <c r="A5" s="61"/>
      <c r="B5" s="69"/>
      <c r="C5" s="12" t="s">
        <v>34</v>
      </c>
      <c r="D5" s="48">
        <f>+I5</f>
        <v>4000000</v>
      </c>
      <c r="E5" s="38"/>
      <c r="F5" s="38"/>
      <c r="G5" s="38"/>
      <c r="H5" s="40" t="s">
        <v>34</v>
      </c>
      <c r="I5" s="43">
        <v>4000000</v>
      </c>
    </row>
    <row r="6" spans="1:12" ht="15.75" thickBot="1" x14ac:dyDescent="0.3">
      <c r="A6" s="61"/>
      <c r="B6" s="70"/>
      <c r="C6" s="6" t="s">
        <v>5</v>
      </c>
      <c r="D6" s="7">
        <f>SUM(D4:D5)</f>
        <v>81855856</v>
      </c>
      <c r="H6" s="40"/>
      <c r="I6" s="53"/>
      <c r="L6" s="24"/>
    </row>
    <row r="7" spans="1:12" x14ac:dyDescent="0.25">
      <c r="A7" s="61"/>
      <c r="B7" s="71" t="s">
        <v>1</v>
      </c>
      <c r="C7" s="3" t="s">
        <v>3</v>
      </c>
      <c r="D7" s="9">
        <f>+I7</f>
        <v>2563292</v>
      </c>
      <c r="H7" s="40" t="s">
        <v>3</v>
      </c>
      <c r="I7" s="43">
        <v>2563292</v>
      </c>
      <c r="L7" s="24"/>
    </row>
    <row r="8" spans="1:12" ht="15.75" thickBot="1" x14ac:dyDescent="0.3">
      <c r="A8" s="61"/>
      <c r="B8" s="72"/>
      <c r="C8" s="4" t="s">
        <v>4</v>
      </c>
      <c r="D8" s="5">
        <f>+I8</f>
        <v>3154789</v>
      </c>
      <c r="H8" s="41" t="s">
        <v>4</v>
      </c>
      <c r="I8" s="44">
        <v>3154789</v>
      </c>
    </row>
    <row r="9" spans="1:12" ht="15.75" thickBot="1" x14ac:dyDescent="0.3">
      <c r="A9" s="61"/>
      <c r="B9" s="73"/>
      <c r="C9" s="6" t="s">
        <v>6</v>
      </c>
      <c r="D9" s="7">
        <f>SUM(D7:D8)</f>
        <v>5718081</v>
      </c>
    </row>
    <row r="10" spans="1:12" ht="15.75" thickBot="1" x14ac:dyDescent="0.3">
      <c r="A10" s="61"/>
      <c r="B10" s="22" t="s">
        <v>2</v>
      </c>
      <c r="C10" s="10"/>
      <c r="D10" s="11">
        <f>D6-D9</f>
        <v>76137775</v>
      </c>
    </row>
    <row r="11" spans="1:12" ht="15.75" thickBot="1" x14ac:dyDescent="0.3">
      <c r="A11" s="61"/>
      <c r="B11" s="68" t="s">
        <v>7</v>
      </c>
      <c r="C11" s="3"/>
      <c r="D11" s="8"/>
      <c r="E11" s="1"/>
      <c r="F11" s="38"/>
      <c r="G11" s="38"/>
      <c r="H11" s="59" t="s">
        <v>50</v>
      </c>
      <c r="I11" s="60"/>
    </row>
    <row r="12" spans="1:12" x14ac:dyDescent="0.25">
      <c r="A12" s="61"/>
      <c r="B12" s="74"/>
      <c r="C12" s="2" t="s">
        <v>25</v>
      </c>
      <c r="D12" s="5">
        <f>++IF(I12="SI",IF((D6*10%)&gt;(384*'Tabla Impuesto'!G3),(384*'Tabla Impuesto'!G3),(D6*10%)),0)</f>
        <v>8185585.6000000006</v>
      </c>
      <c r="H12" s="39" t="s">
        <v>15</v>
      </c>
      <c r="I12" s="50" t="s">
        <v>48</v>
      </c>
      <c r="J12" s="24"/>
    </row>
    <row r="13" spans="1:12" x14ac:dyDescent="0.25">
      <c r="A13" s="61"/>
      <c r="B13" s="74"/>
      <c r="C13" s="2" t="s">
        <v>26</v>
      </c>
      <c r="D13" s="5">
        <f>+IF((I13)&gt;(192*'Tabla Impuesto'!G3),(192*'Tabla Impuesto'!G3),(I13))</f>
        <v>0</v>
      </c>
      <c r="H13" s="40" t="s">
        <v>16</v>
      </c>
      <c r="I13" s="43">
        <v>0</v>
      </c>
      <c r="J13" s="24"/>
    </row>
    <row r="14" spans="1:12" x14ac:dyDescent="0.25">
      <c r="A14" s="61"/>
      <c r="B14" s="74"/>
      <c r="C14" s="2" t="s">
        <v>27</v>
      </c>
      <c r="D14" s="5">
        <f>+IF((I14)&gt;(1200*'Tabla Impuesto'!G3),(1200*'Tabla Impuesto'!G3),(I14))</f>
        <v>0</v>
      </c>
      <c r="H14" s="40" t="s">
        <v>28</v>
      </c>
      <c r="I14" s="43">
        <v>0</v>
      </c>
      <c r="J14" s="24"/>
    </row>
    <row r="15" spans="1:12" ht="15.75" thickBot="1" x14ac:dyDescent="0.3">
      <c r="A15" s="61"/>
      <c r="B15" s="75"/>
      <c r="C15" s="6" t="s">
        <v>8</v>
      </c>
      <c r="D15" s="7">
        <f>SUM(D11:D14)</f>
        <v>8185585.6000000006</v>
      </c>
      <c r="H15" s="41" t="s">
        <v>42</v>
      </c>
      <c r="I15" s="44">
        <v>10068221</v>
      </c>
    </row>
    <row r="16" spans="1:12" x14ac:dyDescent="0.25">
      <c r="A16" s="61"/>
      <c r="B16" s="68" t="s">
        <v>9</v>
      </c>
      <c r="C16" s="3"/>
      <c r="D16" s="3"/>
    </row>
    <row r="17" spans="1:10" x14ac:dyDescent="0.25">
      <c r="A17" s="61"/>
      <c r="B17" s="74"/>
      <c r="C17" s="4" t="s">
        <v>29</v>
      </c>
      <c r="D17" s="5">
        <f>+IF(J17&gt;=3800*'Tabla Impuesto'!G3,3800*'Tabla Impuesto'!G3,IF(J17&lt;=3800*'Tabla Impuesto'!G3,J17))</f>
        <v>10068221</v>
      </c>
      <c r="I17" s="45"/>
      <c r="J17" s="46">
        <f>+IF((I15)&lt;((D6*30%)),(I15),(D6*30%))</f>
        <v>10068221</v>
      </c>
    </row>
    <row r="18" spans="1:10" x14ac:dyDescent="0.25">
      <c r="A18" s="61"/>
      <c r="B18" s="74"/>
      <c r="C18" s="4" t="s">
        <v>10</v>
      </c>
      <c r="D18" s="13">
        <f>(D6-D9-D15-D17)*25%</f>
        <v>14470992.100000001</v>
      </c>
      <c r="I18" s="24"/>
    </row>
    <row r="19" spans="1:10" ht="15.75" thickBot="1" x14ac:dyDescent="0.3">
      <c r="A19" s="61"/>
      <c r="B19" s="75"/>
      <c r="C19" s="14" t="s">
        <v>13</v>
      </c>
      <c r="D19" s="23">
        <f>SUM(D16:D18)</f>
        <v>24539213.100000001</v>
      </c>
    </row>
    <row r="20" spans="1:10" ht="15.75" thickBot="1" x14ac:dyDescent="0.3">
      <c r="A20" s="61"/>
      <c r="B20" s="79" t="s">
        <v>24</v>
      </c>
      <c r="C20" s="80"/>
      <c r="D20" s="42">
        <f>+D15+D19</f>
        <v>32724798.700000003</v>
      </c>
      <c r="J20" s="46">
        <f>+IF(D20&lt;(D10*0.4),D20,(D10*0.4))</f>
        <v>30455110</v>
      </c>
    </row>
    <row r="21" spans="1:10" ht="15" customHeight="1" x14ac:dyDescent="0.25">
      <c r="A21" s="61"/>
      <c r="B21" s="81" t="s">
        <v>32</v>
      </c>
      <c r="C21" s="83" t="s">
        <v>31</v>
      </c>
      <c r="D21" s="85">
        <f>IF(J20&gt;=5040*'Tabla Impuesto'!G3,5040*'Tabla Impuesto'!G3,IF(J20&lt;=5040*'Tabla Impuesto'!G3,J20))</f>
        <v>30455110</v>
      </c>
    </row>
    <row r="22" spans="1:10" ht="30" customHeight="1" thickBot="1" x14ac:dyDescent="0.3">
      <c r="A22" s="61"/>
      <c r="B22" s="82"/>
      <c r="C22" s="84"/>
      <c r="D22" s="86"/>
    </row>
    <row r="23" spans="1:10" ht="15.75" thickBot="1" x14ac:dyDescent="0.3">
      <c r="A23" s="61"/>
      <c r="B23" s="76" t="s">
        <v>11</v>
      </c>
      <c r="C23" s="76"/>
      <c r="D23" s="77"/>
    </row>
    <row r="24" spans="1:10" ht="3" customHeight="1" thickBot="1" x14ac:dyDescent="0.3">
      <c r="A24" s="61"/>
      <c r="B24" s="16"/>
      <c r="C24" s="16"/>
      <c r="D24" s="15"/>
    </row>
    <row r="25" spans="1:10" x14ac:dyDescent="0.25">
      <c r="A25" s="61"/>
      <c r="B25" s="20" t="s">
        <v>14</v>
      </c>
      <c r="C25" s="17"/>
      <c r="D25" s="9">
        <f>D10-D21</f>
        <v>45682665</v>
      </c>
      <c r="I25" s="24"/>
    </row>
    <row r="26" spans="1:10" ht="15.75" thickBot="1" x14ac:dyDescent="0.3">
      <c r="A26" s="61"/>
      <c r="B26" s="21" t="s">
        <v>12</v>
      </c>
      <c r="C26" s="18"/>
      <c r="D26" s="19">
        <f>+'Tabla Impuesto'!G8</f>
        <v>809000</v>
      </c>
    </row>
    <row r="27" spans="1:10" ht="15.75" thickBot="1" x14ac:dyDescent="0.3">
      <c r="A27" s="61"/>
      <c r="B27" s="78" t="s">
        <v>33</v>
      </c>
      <c r="C27" s="78"/>
      <c r="D27" s="54">
        <f>D26</f>
        <v>809000</v>
      </c>
      <c r="E27" s="55">
        <f>+D27-353000</f>
        <v>456000</v>
      </c>
    </row>
    <row r="28" spans="1:10" ht="15.75" thickBot="1" x14ac:dyDescent="0.3">
      <c r="A28" s="62"/>
      <c r="B28" s="35"/>
      <c r="C28" s="35"/>
      <c r="D28" s="36"/>
    </row>
    <row r="30" spans="1:10" x14ac:dyDescent="0.25">
      <c r="E30" s="38"/>
      <c r="F30" s="38"/>
      <c r="G30" s="38"/>
    </row>
    <row r="31" spans="1:10" x14ac:dyDescent="0.25">
      <c r="B31" s="37" t="s">
        <v>40</v>
      </c>
      <c r="E31" s="38"/>
      <c r="F31" s="38"/>
      <c r="G31" s="38"/>
    </row>
    <row r="32" spans="1:10" x14ac:dyDescent="0.25">
      <c r="B32" s="37" t="s">
        <v>35</v>
      </c>
    </row>
    <row r="33" spans="2:3" x14ac:dyDescent="0.25">
      <c r="B33" s="37" t="s">
        <v>36</v>
      </c>
    </row>
    <row r="34" spans="2:3" x14ac:dyDescent="0.25">
      <c r="B34" s="37" t="s">
        <v>41</v>
      </c>
    </row>
    <row r="40" spans="2:3" ht="15.75" x14ac:dyDescent="0.25">
      <c r="B40" s="56" t="s">
        <v>46</v>
      </c>
      <c r="C40" s="56"/>
    </row>
    <row r="41" spans="2:3" ht="15.75" x14ac:dyDescent="0.25">
      <c r="B41" s="57" t="s">
        <v>47</v>
      </c>
      <c r="C41" s="57"/>
    </row>
  </sheetData>
  <mergeCells count="19">
    <mergeCell ref="A1:A28"/>
    <mergeCell ref="B1:D1"/>
    <mergeCell ref="B2:D2"/>
    <mergeCell ref="B3:D3"/>
    <mergeCell ref="B4:B6"/>
    <mergeCell ref="B7:B9"/>
    <mergeCell ref="B11:B15"/>
    <mergeCell ref="B23:D23"/>
    <mergeCell ref="B27:C27"/>
    <mergeCell ref="B16:B19"/>
    <mergeCell ref="B20:C20"/>
    <mergeCell ref="B21:B22"/>
    <mergeCell ref="C21:C22"/>
    <mergeCell ref="D21:D22"/>
    <mergeCell ref="B40:C40"/>
    <mergeCell ref="B41:C41"/>
    <mergeCell ref="H2:I2"/>
    <mergeCell ref="H3:I3"/>
    <mergeCell ref="H11:I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J6" sqref="J6"/>
    </sheetView>
  </sheetViews>
  <sheetFormatPr baseColWidth="10" defaultRowHeight="15" x14ac:dyDescent="0.25"/>
  <cols>
    <col min="4" max="4" width="54.28515625" customWidth="1"/>
    <col min="7" max="7" width="14.140625" bestFit="1" customWidth="1"/>
  </cols>
  <sheetData>
    <row r="2" spans="1:7" x14ac:dyDescent="0.25">
      <c r="A2" s="87" t="s">
        <v>22</v>
      </c>
      <c r="B2" s="88"/>
      <c r="C2" s="88"/>
      <c r="D2" s="89"/>
      <c r="G2" s="51" t="s">
        <v>45</v>
      </c>
    </row>
    <row r="3" spans="1:7" x14ac:dyDescent="0.25">
      <c r="A3" s="25" t="s">
        <v>17</v>
      </c>
      <c r="B3" s="25" t="s">
        <v>18</v>
      </c>
      <c r="C3" s="25"/>
      <c r="D3" s="25"/>
      <c r="G3" s="33">
        <v>38004</v>
      </c>
    </row>
    <row r="4" spans="1:7" x14ac:dyDescent="0.25">
      <c r="A4" s="26">
        <v>0</v>
      </c>
      <c r="B4" s="26">
        <v>1090</v>
      </c>
      <c r="C4" s="27">
        <v>0</v>
      </c>
      <c r="D4" s="26"/>
      <c r="E4" s="30">
        <v>0</v>
      </c>
    </row>
    <row r="5" spans="1:7" x14ac:dyDescent="0.25">
      <c r="A5" s="26">
        <v>1090</v>
      </c>
      <c r="B5" s="26">
        <v>1700</v>
      </c>
      <c r="C5" s="27">
        <v>0.19</v>
      </c>
      <c r="D5" s="26" t="s">
        <v>19</v>
      </c>
      <c r="E5" s="30">
        <f>+IF(1090&lt;A10,IF(A10&lt;1700,(A10-1090)*0.19,0))</f>
        <v>21.289284022734464</v>
      </c>
    </row>
    <row r="6" spans="1:7" x14ac:dyDescent="0.25">
      <c r="A6" s="26">
        <v>1700</v>
      </c>
      <c r="B6" s="26">
        <v>4100</v>
      </c>
      <c r="C6" s="27">
        <v>0.28000000000000003</v>
      </c>
      <c r="D6" s="26" t="s">
        <v>20</v>
      </c>
      <c r="E6" s="30" t="b">
        <f>+IF(1700&lt;$A$10,+IF($A$10&lt;4100,($A$10-1700)*0.28+116,0))</f>
        <v>0</v>
      </c>
    </row>
    <row r="7" spans="1:7" x14ac:dyDescent="0.25">
      <c r="A7" s="28">
        <v>4100</v>
      </c>
      <c r="B7" s="28">
        <v>8670</v>
      </c>
      <c r="C7" s="29">
        <v>0.33</v>
      </c>
      <c r="D7" s="28" t="s">
        <v>21</v>
      </c>
      <c r="E7" s="30" t="b">
        <f>+IF(4100&lt;$A$10,+IF($A$10&lt;8670,($A$10-4100)*0.33+788,0))</f>
        <v>0</v>
      </c>
      <c r="G7" s="34" t="s">
        <v>12</v>
      </c>
    </row>
    <row r="8" spans="1:7" x14ac:dyDescent="0.25">
      <c r="A8" s="28">
        <v>8670</v>
      </c>
      <c r="B8" s="28">
        <v>18970</v>
      </c>
      <c r="C8" s="29">
        <v>0.35</v>
      </c>
      <c r="D8" s="28" t="s">
        <v>38</v>
      </c>
      <c r="E8" s="30" t="b">
        <f>+IF(8670&lt;$A$10,+IF($A$10&lt;18970,($A$10-8670)*0.35+2296,0))</f>
        <v>0</v>
      </c>
      <c r="G8" s="32">
        <f>ROUND(E10*G3/1000,0)*1000</f>
        <v>809000</v>
      </c>
    </row>
    <row r="9" spans="1:7" x14ac:dyDescent="0.25">
      <c r="A9" s="28">
        <v>18970</v>
      </c>
      <c r="B9" s="28">
        <v>31000</v>
      </c>
      <c r="C9" s="29">
        <v>0.37</v>
      </c>
      <c r="D9" s="28" t="s">
        <v>39</v>
      </c>
      <c r="E9" s="30" t="b">
        <f>+IF(18970&lt;$A$10,+IF($A$10&lt;31000,($A$10-18970)*0.37+5901,0))</f>
        <v>0</v>
      </c>
    </row>
    <row r="10" spans="1:7" x14ac:dyDescent="0.25">
      <c r="A10" s="24">
        <f>'Liquidación Renta PN'!D25/G3</f>
        <v>1202.0488632775498</v>
      </c>
      <c r="E10" s="31">
        <f>MAXA(E4:E9)</f>
        <v>21.289284022734464</v>
      </c>
    </row>
    <row r="15" spans="1:7" x14ac:dyDescent="0.25">
      <c r="E15" s="24"/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Liquidación Renta PN</vt:lpstr>
      <vt:lpstr>Tabla Impuesto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Mendigana Rozo</dc:creator>
  <cp:lastModifiedBy>Juan José Rodriguez Jurado</cp:lastModifiedBy>
  <cp:lastPrinted>2022-05-12T01:48:47Z</cp:lastPrinted>
  <dcterms:created xsi:type="dcterms:W3CDTF">2017-04-16T16:33:23Z</dcterms:created>
  <dcterms:modified xsi:type="dcterms:W3CDTF">2022-07-29T15:42:14Z</dcterms:modified>
</cp:coreProperties>
</file>